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50" yWindow="195" windowWidth="14805" windowHeight="7950"/>
  </bookViews>
  <sheets>
    <sheet name="Sheet1" sheetId="1" r:id="rId1"/>
  </sheets>
  <definedNames>
    <definedName name="ffddf">Sheet1!#REF!</definedName>
    <definedName name="Vd._dettaglio_sotto">Sheet1!#REF!</definedName>
  </definedNames>
  <calcPr calcId="125725"/>
</workbook>
</file>

<file path=xl/calcChain.xml><?xml version="1.0" encoding="utf-8"?>
<calcChain xmlns="http://schemas.openxmlformats.org/spreadsheetml/2006/main">
  <c r="B40" i="1"/>
  <c r="B42"/>
  <c r="B38"/>
  <c r="B43" s="1"/>
  <c r="X31" l="1"/>
  <c r="W31"/>
  <c r="U31"/>
  <c r="T31"/>
  <c r="X30"/>
  <c r="W30"/>
  <c r="U30"/>
  <c r="T30"/>
  <c r="R30"/>
  <c r="Q30"/>
  <c r="R31"/>
  <c r="Q31"/>
  <c r="I31"/>
  <c r="H31"/>
  <c r="I30"/>
  <c r="H30"/>
  <c r="X19"/>
  <c r="W19"/>
  <c r="U19"/>
  <c r="T19"/>
  <c r="X17"/>
  <c r="W17"/>
  <c r="U17"/>
  <c r="T17"/>
  <c r="X15"/>
  <c r="W15"/>
  <c r="T15"/>
  <c r="X12"/>
  <c r="W12"/>
  <c r="U12"/>
  <c r="T12"/>
  <c r="W11"/>
  <c r="T11"/>
  <c r="W9"/>
  <c r="T9"/>
  <c r="R19"/>
  <c r="Q19"/>
  <c r="R17"/>
  <c r="AA17" s="1"/>
  <c r="Q17"/>
  <c r="R15"/>
  <c r="Q15"/>
  <c r="R12"/>
  <c r="Q12"/>
  <c r="Q11"/>
  <c r="Q9"/>
  <c r="I19"/>
  <c r="H19"/>
  <c r="I17"/>
  <c r="H17"/>
  <c r="H15"/>
  <c r="I12"/>
  <c r="H12"/>
  <c r="H11"/>
  <c r="H9"/>
  <c r="L10"/>
  <c r="K8"/>
  <c r="L8"/>
  <c r="N8"/>
  <c r="O8"/>
  <c r="L9"/>
  <c r="M9" s="1"/>
  <c r="O9"/>
  <c r="X9" s="1"/>
  <c r="K10"/>
  <c r="N10"/>
  <c r="O10"/>
  <c r="L11"/>
  <c r="R11" s="1"/>
  <c r="O11"/>
  <c r="P11" s="1"/>
  <c r="M12"/>
  <c r="P12"/>
  <c r="K13"/>
  <c r="L13"/>
  <c r="N13"/>
  <c r="O13"/>
  <c r="K14"/>
  <c r="L14"/>
  <c r="N14"/>
  <c r="O14"/>
  <c r="M15"/>
  <c r="P15"/>
  <c r="K16"/>
  <c r="L16"/>
  <c r="N16"/>
  <c r="O16"/>
  <c r="L18"/>
  <c r="K18"/>
  <c r="N18"/>
  <c r="W18" s="1"/>
  <c r="O18"/>
  <c r="M19"/>
  <c r="V19" s="1"/>
  <c r="P19"/>
  <c r="C9"/>
  <c r="I9" s="1"/>
  <c r="F9"/>
  <c r="G9" s="1"/>
  <c r="C11"/>
  <c r="D11" s="1"/>
  <c r="F11"/>
  <c r="G11" s="1"/>
  <c r="D12"/>
  <c r="J12" s="1"/>
  <c r="G12"/>
  <c r="B13"/>
  <c r="C13"/>
  <c r="E13"/>
  <c r="G13" s="1"/>
  <c r="F13"/>
  <c r="B14"/>
  <c r="C14"/>
  <c r="E14"/>
  <c r="F14"/>
  <c r="C15"/>
  <c r="I15" s="1"/>
  <c r="G15"/>
  <c r="B16"/>
  <c r="H16" s="1"/>
  <c r="C16"/>
  <c r="E16"/>
  <c r="F16"/>
  <c r="B18"/>
  <c r="H18" s="1"/>
  <c r="C18"/>
  <c r="E18"/>
  <c r="F18"/>
  <c r="G19"/>
  <c r="J19" s="1"/>
  <c r="E8"/>
  <c r="F8"/>
  <c r="E10"/>
  <c r="F10"/>
  <c r="B8"/>
  <c r="C8"/>
  <c r="B10"/>
  <c r="C10"/>
  <c r="M17"/>
  <c r="P17"/>
  <c r="D17"/>
  <c r="G17"/>
  <c r="M31"/>
  <c r="P31"/>
  <c r="D31"/>
  <c r="G31"/>
  <c r="M30"/>
  <c r="P30"/>
  <c r="D30"/>
  <c r="G30"/>
  <c r="B22" l="1"/>
  <c r="G10"/>
  <c r="F26"/>
  <c r="I16"/>
  <c r="Z12"/>
  <c r="Z17"/>
  <c r="Y15"/>
  <c r="J30"/>
  <c r="V17"/>
  <c r="H13"/>
  <c r="Q16"/>
  <c r="W14"/>
  <c r="P13"/>
  <c r="Y13" s="1"/>
  <c r="V12"/>
  <c r="AA19"/>
  <c r="U11"/>
  <c r="P16"/>
  <c r="Y16" s="1"/>
  <c r="V30"/>
  <c r="V31"/>
  <c r="Y17"/>
  <c r="C25"/>
  <c r="D14"/>
  <c r="I13"/>
  <c r="X13"/>
  <c r="X10"/>
  <c r="Z9"/>
  <c r="AA31"/>
  <c r="H10"/>
  <c r="Z16"/>
  <c r="T10"/>
  <c r="U15"/>
  <c r="T16"/>
  <c r="Z31"/>
  <c r="N22"/>
  <c r="X16"/>
  <c r="X18"/>
  <c r="S12"/>
  <c r="AB12" s="1"/>
  <c r="Y30"/>
  <c r="E23"/>
  <c r="I18"/>
  <c r="D16"/>
  <c r="D15"/>
  <c r="J15" s="1"/>
  <c r="I14"/>
  <c r="R18"/>
  <c r="AA18" s="1"/>
  <c r="U16"/>
  <c r="P14"/>
  <c r="T14"/>
  <c r="T13"/>
  <c r="M11"/>
  <c r="S11" s="1"/>
  <c r="M10"/>
  <c r="U9"/>
  <c r="K24"/>
  <c r="I11"/>
  <c r="AA11" s="1"/>
  <c r="Z15"/>
  <c r="Z19"/>
  <c r="AA30"/>
  <c r="AA12"/>
  <c r="X14"/>
  <c r="O25"/>
  <c r="R10"/>
  <c r="AA15"/>
  <c r="Y31"/>
  <c r="I10"/>
  <c r="J31"/>
  <c r="J17"/>
  <c r="B26"/>
  <c r="D8"/>
  <c r="F22"/>
  <c r="E27"/>
  <c r="G16"/>
  <c r="E26"/>
  <c r="J11"/>
  <c r="Y19"/>
  <c r="T18"/>
  <c r="R14"/>
  <c r="AA14" s="1"/>
  <c r="U13"/>
  <c r="Y11"/>
  <c r="Q10"/>
  <c r="U8"/>
  <c r="Z11"/>
  <c r="Q14"/>
  <c r="Z30"/>
  <c r="V11"/>
  <c r="Q18"/>
  <c r="C24"/>
  <c r="O24"/>
  <c r="F25"/>
  <c r="L27"/>
  <c r="T8"/>
  <c r="W13"/>
  <c r="S30"/>
  <c r="AB30" s="1"/>
  <c r="B24"/>
  <c r="G8"/>
  <c r="D13"/>
  <c r="J13" s="1"/>
  <c r="M16"/>
  <c r="M14"/>
  <c r="P9"/>
  <c r="P8"/>
  <c r="I8"/>
  <c r="R8"/>
  <c r="R16"/>
  <c r="AA16" s="1"/>
  <c r="S17"/>
  <c r="L22"/>
  <c r="C23"/>
  <c r="K23"/>
  <c r="O23"/>
  <c r="F24"/>
  <c r="N24"/>
  <c r="E25"/>
  <c r="L26"/>
  <c r="C27"/>
  <c r="K27"/>
  <c r="O27"/>
  <c r="W8"/>
  <c r="U10"/>
  <c r="X11"/>
  <c r="U14"/>
  <c r="W16"/>
  <c r="U18"/>
  <c r="D9"/>
  <c r="P18"/>
  <c r="P10"/>
  <c r="Y10" s="1"/>
  <c r="M8"/>
  <c r="H8"/>
  <c r="Q8"/>
  <c r="R9"/>
  <c r="AA9" s="1"/>
  <c r="R13"/>
  <c r="AA13" s="1"/>
  <c r="C22"/>
  <c r="K22"/>
  <c r="O22"/>
  <c r="F23"/>
  <c r="N23"/>
  <c r="W23" s="1"/>
  <c r="E24"/>
  <c r="L25"/>
  <c r="U25" s="1"/>
  <c r="C26"/>
  <c r="K26"/>
  <c r="T26" s="1"/>
  <c r="O26"/>
  <c r="X26" s="1"/>
  <c r="F27"/>
  <c r="N27"/>
  <c r="W27" s="1"/>
  <c r="L23"/>
  <c r="U23" s="1"/>
  <c r="N25"/>
  <c r="W25" s="1"/>
  <c r="X8"/>
  <c r="G18"/>
  <c r="B23"/>
  <c r="D10"/>
  <c r="D18"/>
  <c r="G14"/>
  <c r="Y14" s="1"/>
  <c r="S31"/>
  <c r="B25"/>
  <c r="B27"/>
  <c r="M18"/>
  <c r="M13"/>
  <c r="Q13"/>
  <c r="S15"/>
  <c r="AB15" s="1"/>
  <c r="S19"/>
  <c r="AB19" s="1"/>
  <c r="L24"/>
  <c r="U24" s="1"/>
  <c r="K25"/>
  <c r="N26"/>
  <c r="W26" s="1"/>
  <c r="W10"/>
  <c r="Y12"/>
  <c r="H14"/>
  <c r="Z14" s="1"/>
  <c r="E22"/>
  <c r="W22" s="1"/>
  <c r="X25" l="1"/>
  <c r="J16"/>
  <c r="T22"/>
  <c r="Z10"/>
  <c r="AB31"/>
  <c r="Z13"/>
  <c r="X27"/>
  <c r="V15"/>
  <c r="T24"/>
  <c r="AB11"/>
  <c r="H26"/>
  <c r="D24"/>
  <c r="R27"/>
  <c r="H27"/>
  <c r="AA10"/>
  <c r="D22"/>
  <c r="T23"/>
  <c r="X22"/>
  <c r="AB17"/>
  <c r="P27"/>
  <c r="Y18"/>
  <c r="P26"/>
  <c r="G25"/>
  <c r="G24"/>
  <c r="G22"/>
  <c r="G23"/>
  <c r="D27"/>
  <c r="J18"/>
  <c r="D26"/>
  <c r="P23"/>
  <c r="Y23" s="1"/>
  <c r="Y8"/>
  <c r="P24"/>
  <c r="Y24" s="1"/>
  <c r="P25"/>
  <c r="P22"/>
  <c r="T25"/>
  <c r="U26"/>
  <c r="X23"/>
  <c r="X24"/>
  <c r="J8"/>
  <c r="D23"/>
  <c r="J14"/>
  <c r="R26"/>
  <c r="J10"/>
  <c r="V10"/>
  <c r="Q23"/>
  <c r="Z8"/>
  <c r="Q24"/>
  <c r="Q25"/>
  <c r="Q22"/>
  <c r="M27"/>
  <c r="S18"/>
  <c r="V18"/>
  <c r="M26"/>
  <c r="V26" s="1"/>
  <c r="G26"/>
  <c r="G27"/>
  <c r="M23"/>
  <c r="V23" s="1"/>
  <c r="M22"/>
  <c r="S8"/>
  <c r="V8"/>
  <c r="M24"/>
  <c r="V24" s="1"/>
  <c r="M25"/>
  <c r="I23"/>
  <c r="I24"/>
  <c r="I25"/>
  <c r="I22"/>
  <c r="S16"/>
  <c r="AB16" s="1"/>
  <c r="V16"/>
  <c r="U22"/>
  <c r="I27"/>
  <c r="Y9"/>
  <c r="S9"/>
  <c r="V13"/>
  <c r="S13"/>
  <c r="AB13" s="1"/>
  <c r="H24"/>
  <c r="H25"/>
  <c r="H22"/>
  <c r="H23"/>
  <c r="V9"/>
  <c r="J9"/>
  <c r="R22"/>
  <c r="R23"/>
  <c r="AA23" s="1"/>
  <c r="AA8"/>
  <c r="R24"/>
  <c r="AA24" s="1"/>
  <c r="R25"/>
  <c r="AA25" s="1"/>
  <c r="S14"/>
  <c r="AB14" s="1"/>
  <c r="V14"/>
  <c r="Q27"/>
  <c r="Z27" s="1"/>
  <c r="Q26"/>
  <c r="Z26" s="1"/>
  <c r="Z18"/>
  <c r="T27"/>
  <c r="W24"/>
  <c r="U27"/>
  <c r="D25"/>
  <c r="S10"/>
  <c r="I26"/>
  <c r="AA27" l="1"/>
  <c r="Y22"/>
  <c r="V22"/>
  <c r="Z24"/>
  <c r="J22"/>
  <c r="J23"/>
  <c r="J24"/>
  <c r="J25"/>
  <c r="J26"/>
  <c r="J27"/>
  <c r="AA22"/>
  <c r="Z25"/>
  <c r="Y27"/>
  <c r="AB18"/>
  <c r="S26"/>
  <c r="S27"/>
  <c r="AB27" s="1"/>
  <c r="V25"/>
  <c r="Z22"/>
  <c r="Z23"/>
  <c r="Y25"/>
  <c r="S25"/>
  <c r="S24"/>
  <c r="S22"/>
  <c r="S23"/>
  <c r="AB23" s="1"/>
  <c r="AB8"/>
  <c r="AB9"/>
  <c r="AB10"/>
  <c r="V27"/>
  <c r="AA26"/>
  <c r="Y26"/>
  <c r="AB25" l="1"/>
  <c r="AB24"/>
  <c r="AB22"/>
  <c r="AB26"/>
</calcChain>
</file>

<file path=xl/sharedStrings.xml><?xml version="1.0" encoding="utf-8"?>
<sst xmlns="http://schemas.openxmlformats.org/spreadsheetml/2006/main" count="81" uniqueCount="65">
  <si>
    <t>DEPUTATI</t>
  </si>
  <si>
    <t>PERSONALE IN QUIESCENZA</t>
  </si>
  <si>
    <t>ACQUISTO DI BENI E SERVIZI</t>
  </si>
  <si>
    <t>PERSONALE IN ATTIVITA'</t>
  </si>
  <si>
    <t>SPESE IN CONTO CAPITALE</t>
  </si>
  <si>
    <t>RIMBORSI A PARTITI</t>
  </si>
  <si>
    <t>Titolo II</t>
  </si>
  <si>
    <t>CONTRIBUTI A GRUPPI PARLAMENTARI</t>
  </si>
  <si>
    <t>Fonte</t>
  </si>
  <si>
    <t>DEPUTATI CESSATI DAL MANDATO</t>
  </si>
  <si>
    <t>ALTRE SPESE</t>
  </si>
  <si>
    <t>TRASFERIMENTO DAL FONDO DI SOLIDARIETA' TRA DEPUTATI</t>
  </si>
  <si>
    <t>RITENUTE FISCALI E RITENUTE VARIE</t>
  </si>
  <si>
    <t>ENTRATE NON DA TRASFERIMENTI STATALI (ECCETTO TRASFERIMENTO DAL FONDO DI SOLIDARIETA' TRA DEPUTATI)</t>
  </si>
  <si>
    <t>capp.  10 + 15 + 20 + 25  (escluso "Trasferimento da Fondo di solidarietà tra deputati") + 40 + 45  Entrate</t>
  </si>
  <si>
    <t>Deputati</t>
  </si>
  <si>
    <t>Deputati cessati dal mandato</t>
  </si>
  <si>
    <t>Personale in attività</t>
  </si>
  <si>
    <t>Penrsonale in quiescenza</t>
  </si>
  <si>
    <t>Acquisto di beni e servizi</t>
  </si>
  <si>
    <t>Altre spese</t>
  </si>
  <si>
    <t>Spese in conto capitale</t>
  </si>
  <si>
    <t>Categoria I, Titolo I</t>
  </si>
  <si>
    <t>Categoria II, Titolo I</t>
  </si>
  <si>
    <t xml:space="preserve">Categoria III, Titolo I  + cap. 105 Servizi del personale non dipendente + cap. 120 Spese per assicurazioni </t>
  </si>
  <si>
    <t>Categoria IV, Titolo I</t>
  </si>
  <si>
    <t>cap. 135 Contributi ai gruppi parlamentari, Titolo I</t>
  </si>
  <si>
    <t>Categoria V, Titolo I  (eccetto capp. 105 e 120)</t>
  </si>
  <si>
    <t>Categoria VI, Titolo I  (eccetto cap. 135) e Categoria VII, Titolo I  (eccetto capp. 219, 220)</t>
  </si>
  <si>
    <t>cap. 25 Trasferimento da Fondo di solidarietà tra deputati Entrate</t>
  </si>
  <si>
    <t xml:space="preserve">cap. 401, Titolo III </t>
  </si>
  <si>
    <t xml:space="preserve">capp. 430 e 435 Titolo III </t>
  </si>
  <si>
    <t>PER MEMORIA: RESTITUZIONE AL BILANCIO DELLO STATO</t>
  </si>
  <si>
    <t>Calcoli per "Restituzione al Bilancio dello Stato", Impegni CP, 2012</t>
  </si>
  <si>
    <t>Totale</t>
  </si>
  <si>
    <t>PER MEMORIA: SPESE PER IMPOSTE E TASSE</t>
  </si>
  <si>
    <t xml:space="preserve">SPESA TOTALE </t>
  </si>
  <si>
    <t>SPESA TOTALE AL NETTO DELLE ENTRATE NON DA TRASFERIMENTI STATALI (ECCETTO TRASFERIMENTO DAL FONDO DI SOLIDARIETA' FRA DEPUTATI)</t>
  </si>
  <si>
    <t>SPESA TOTALE AL NETTO DELLE ENTRATE NON DA TRASFERIMENTI STATALI (INCLUSO TRASFERIMENTO DAL FONDO DI SOLIDARIETA' FRA DEPUTATI)</t>
  </si>
  <si>
    <t>PAG. RS</t>
  </si>
  <si>
    <t>IMP. RS</t>
  </si>
  <si>
    <t>IMP. CP</t>
  </si>
  <si>
    <t xml:space="preserve">IMP. TOT. </t>
  </si>
  <si>
    <t>PAG. CP</t>
  </si>
  <si>
    <t>PAG. TOT.</t>
  </si>
  <si>
    <t>IMP. TOT.</t>
  </si>
  <si>
    <t>SPESA TOTALE (ESCLUSI  RIMBORSI AI PARTITI)</t>
  </si>
  <si>
    <t>SPESA TOTALE (ESCLUSI RIMBORSI AI PARTITI) AL NETTO  DELLE ENTRATE NON DA TRASFERIMENTI STATALI (ECCETTO  TRASFERIMENTO DAL FONDO DI SOLIDARIETA' FRA DEPUTATI)</t>
  </si>
  <si>
    <t>RES. RS</t>
  </si>
  <si>
    <t>RES. CP</t>
  </si>
  <si>
    <t>RES. TOT.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</si>
  <si>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IMP. RS</t>
    </r>
  </si>
  <si>
    <t>ΔIMP. CP</t>
  </si>
  <si>
    <t xml:space="preserve">ΔIMP. TOT. </t>
  </si>
  <si>
    <t>ΔPAG. RS</t>
  </si>
  <si>
    <t>ΔPAG. CP</t>
  </si>
  <si>
    <t>ΔPAG. TOT.</t>
  </si>
  <si>
    <t>ΔRES. RS</t>
  </si>
  <si>
    <t>ΔRES. CP</t>
  </si>
  <si>
    <t>ΔRES. TOT.</t>
  </si>
  <si>
    <t>Diff.</t>
  </si>
  <si>
    <t>SPESA TOTALE (ESCLUSI  RIMBORSI AI PARTITI)  AL NETTO  DELLE ENTRATE NON DA TRASFERIMENTI STATALI (INCLUSO  TRASFERIMENTO DAL FONDO DI SOLIDARIETA' FRA DEPUTATI)</t>
  </si>
  <si>
    <t>Roberto Perotti</t>
  </si>
  <si>
    <t>25 luglio 2014</t>
  </si>
  <si>
    <t>Calcoli per l' ebook e articolo lavoce.info: "La pubblicità ingannevole sui costi della Camera"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</si>
</sst>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rgb="FF00B0F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3" fillId="0" borderId="1" xfId="0" applyFont="1" applyFill="1" applyBorder="1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1" fontId="4" fillId="0" borderId="0" xfId="0" applyNumberFormat="1" applyFont="1" applyFill="1" applyBorder="1"/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2" fillId="0" borderId="1" xfId="0" applyFont="1" applyFill="1" applyBorder="1"/>
    <xf numFmtId="0" fontId="4" fillId="0" borderId="1" xfId="0" applyFont="1" applyFill="1" applyBorder="1"/>
    <xf numFmtId="0" fontId="0" fillId="0" borderId="4" xfId="0" applyFill="1" applyBorder="1"/>
    <xf numFmtId="1" fontId="2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1" fontId="11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/>
    <xf numFmtId="1" fontId="11" fillId="2" borderId="0" xfId="0" applyNumberFormat="1" applyFont="1" applyFill="1" applyBorder="1" applyAlignment="1">
      <alignment horizontal="right" vertical="center"/>
    </xf>
    <xf numFmtId="1" fontId="11" fillId="2" borderId="0" xfId="0" applyNumberFormat="1" applyFont="1" applyFill="1" applyBorder="1"/>
    <xf numFmtId="1" fontId="11" fillId="2" borderId="0" xfId="0" applyNumberFormat="1" applyFont="1" applyFill="1" applyBorder="1" applyAlignment="1">
      <alignment horizontal="right"/>
    </xf>
    <xf numFmtId="0" fontId="11" fillId="2" borderId="0" xfId="0" applyFont="1" applyFill="1"/>
    <xf numFmtId="1" fontId="11" fillId="2" borderId="0" xfId="0" applyNumberFormat="1" applyFont="1" applyFill="1" applyAlignment="1">
      <alignment horizontal="right" vertical="center"/>
    </xf>
    <xf numFmtId="0" fontId="11" fillId="0" borderId="0" xfId="0" applyFont="1" applyFill="1" applyBorder="1"/>
    <xf numFmtId="0" fontId="11" fillId="0" borderId="0" xfId="0" applyFont="1" applyFill="1"/>
    <xf numFmtId="1" fontId="9" fillId="0" borderId="2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3" fillId="0" borderId="0" xfId="0" applyFont="1" applyFill="1" applyBorder="1"/>
    <xf numFmtId="0" fontId="0" fillId="0" borderId="0" xfId="0" applyFill="1" applyAlignment="1">
      <alignment horizontal="right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1" xfId="0" applyFont="1" applyFill="1" applyBorder="1"/>
    <xf numFmtId="0" fontId="8" fillId="0" borderId="1" xfId="0" applyFont="1" applyFill="1" applyBorder="1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8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5"/>
  <cols>
    <col min="1" max="1" width="44" style="4" customWidth="1"/>
    <col min="2" max="28" width="12.7109375" style="4" customWidth="1"/>
    <col min="29" max="29" width="13" style="4" customWidth="1"/>
    <col min="30" max="16384" width="9.140625" style="4"/>
  </cols>
  <sheetData>
    <row r="1" spans="1:29">
      <c r="A1" s="4" t="s">
        <v>62</v>
      </c>
    </row>
    <row r="2" spans="1:29">
      <c r="A2" s="4" t="s">
        <v>64</v>
      </c>
    </row>
    <row r="3" spans="1:29">
      <c r="A3" s="4" t="s">
        <v>63</v>
      </c>
    </row>
    <row r="5" spans="1:29">
      <c r="A5" s="11"/>
      <c r="B5" s="43">
        <v>2012</v>
      </c>
      <c r="C5" s="43">
        <v>2012</v>
      </c>
      <c r="D5" s="21">
        <v>2012</v>
      </c>
      <c r="E5" s="20">
        <v>2012</v>
      </c>
      <c r="F5" s="20">
        <v>2012</v>
      </c>
      <c r="G5" s="20">
        <v>2012</v>
      </c>
      <c r="H5" s="20">
        <v>2012</v>
      </c>
      <c r="I5" s="20">
        <v>2012</v>
      </c>
      <c r="J5" s="20">
        <v>2012</v>
      </c>
      <c r="K5" s="20">
        <v>2013</v>
      </c>
      <c r="L5" s="20">
        <v>2013</v>
      </c>
      <c r="M5" s="20">
        <v>2013</v>
      </c>
      <c r="N5" s="20">
        <v>2013</v>
      </c>
      <c r="O5" s="20">
        <v>2013</v>
      </c>
      <c r="P5" s="20">
        <v>2013</v>
      </c>
      <c r="Q5" s="20">
        <v>2013</v>
      </c>
      <c r="R5" s="20">
        <v>2013</v>
      </c>
      <c r="S5" s="20">
        <v>2013</v>
      </c>
      <c r="T5" s="20" t="s">
        <v>60</v>
      </c>
      <c r="U5" s="20" t="s">
        <v>60</v>
      </c>
      <c r="V5" s="20" t="s">
        <v>60</v>
      </c>
      <c r="W5" s="20" t="s">
        <v>60</v>
      </c>
      <c r="X5" s="20" t="s">
        <v>60</v>
      </c>
      <c r="Y5" s="20" t="s">
        <v>60</v>
      </c>
      <c r="Z5" s="20" t="s">
        <v>60</v>
      </c>
      <c r="AA5" s="20" t="s">
        <v>60</v>
      </c>
      <c r="AB5" s="20" t="s">
        <v>60</v>
      </c>
      <c r="AC5" s="15" t="s">
        <v>8</v>
      </c>
    </row>
    <row r="6" spans="1:29">
      <c r="A6" s="11"/>
      <c r="B6" s="44" t="s">
        <v>40</v>
      </c>
      <c r="C6" s="44" t="s">
        <v>41</v>
      </c>
      <c r="D6" s="44" t="s">
        <v>42</v>
      </c>
      <c r="E6" s="44" t="s">
        <v>39</v>
      </c>
      <c r="F6" s="44" t="s">
        <v>43</v>
      </c>
      <c r="G6" s="44" t="s">
        <v>44</v>
      </c>
      <c r="H6" s="44" t="s">
        <v>48</v>
      </c>
      <c r="I6" s="44" t="s">
        <v>49</v>
      </c>
      <c r="J6" s="45" t="s">
        <v>50</v>
      </c>
      <c r="K6" s="44" t="s">
        <v>40</v>
      </c>
      <c r="L6" s="44" t="s">
        <v>41</v>
      </c>
      <c r="M6" s="45" t="s">
        <v>45</v>
      </c>
      <c r="N6" s="44" t="s">
        <v>39</v>
      </c>
      <c r="O6" s="44" t="s">
        <v>43</v>
      </c>
      <c r="P6" s="45" t="s">
        <v>44</v>
      </c>
      <c r="Q6" s="44" t="s">
        <v>48</v>
      </c>
      <c r="R6" s="44" t="s">
        <v>49</v>
      </c>
      <c r="S6" s="45" t="s">
        <v>50</v>
      </c>
      <c r="T6" s="44" t="s">
        <v>51</v>
      </c>
      <c r="U6" s="44" t="s">
        <v>52</v>
      </c>
      <c r="V6" s="44" t="s">
        <v>53</v>
      </c>
      <c r="W6" s="44" t="s">
        <v>54</v>
      </c>
      <c r="X6" s="44" t="s">
        <v>55</v>
      </c>
      <c r="Y6" s="44" t="s">
        <v>56</v>
      </c>
      <c r="Z6" s="44" t="s">
        <v>57</v>
      </c>
      <c r="AA6" s="44" t="s">
        <v>58</v>
      </c>
      <c r="AB6" s="45" t="s">
        <v>59</v>
      </c>
      <c r="AC6" s="16"/>
    </row>
    <row r="7" spans="1:29">
      <c r="A7" s="11"/>
      <c r="B7" s="14"/>
      <c r="C7" s="14"/>
      <c r="D7" s="14"/>
      <c r="E7" s="14"/>
      <c r="F7" s="14"/>
      <c r="G7" s="14"/>
      <c r="H7" s="14"/>
      <c r="I7" s="14"/>
      <c r="J7" s="2"/>
      <c r="K7" s="14"/>
      <c r="L7" s="14"/>
      <c r="M7" s="2"/>
      <c r="N7" s="14"/>
      <c r="O7" s="14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6"/>
    </row>
    <row r="8" spans="1:29">
      <c r="A8" s="12" t="s">
        <v>0</v>
      </c>
      <c r="B8" s="25">
        <f>0+3177</f>
        <v>3177</v>
      </c>
      <c r="C8" s="25">
        <f>78152+3110+116+72119-7560</f>
        <v>145937</v>
      </c>
      <c r="D8" s="25">
        <f t="shared" ref="D8:D18" si="0">B8+C8</f>
        <v>149114</v>
      </c>
      <c r="E8" s="25">
        <f>0+3068</f>
        <v>3068</v>
      </c>
      <c r="F8" s="25">
        <f>78152+3110+116+64419</f>
        <v>145797</v>
      </c>
      <c r="G8" s="25">
        <f t="shared" ref="G8:G19" si="1">E8+F8</f>
        <v>148865</v>
      </c>
      <c r="H8" s="25">
        <f>B8-E8</f>
        <v>109</v>
      </c>
      <c r="I8" s="25">
        <f>C8-F8</f>
        <v>140</v>
      </c>
      <c r="J8" s="25">
        <f>D8-G8</f>
        <v>249</v>
      </c>
      <c r="K8" s="25">
        <f>7810+0</f>
        <v>7810</v>
      </c>
      <c r="L8" s="25">
        <f>77932+1668+55+64875</f>
        <v>144530</v>
      </c>
      <c r="M8" s="26">
        <f>K8+L8</f>
        <v>152340</v>
      </c>
      <c r="N8" s="25">
        <f>7572</f>
        <v>7572</v>
      </c>
      <c r="O8" s="25">
        <f>77932+1668+55+63449</f>
        <v>143104</v>
      </c>
      <c r="P8" s="26">
        <f t="shared" ref="P8:P15" si="2">SUM(N8+O8)</f>
        <v>150676</v>
      </c>
      <c r="Q8" s="25">
        <f>K8-N8</f>
        <v>238</v>
      </c>
      <c r="R8" s="25">
        <f>L8-O8</f>
        <v>1426</v>
      </c>
      <c r="S8" s="25">
        <f>M8-P8</f>
        <v>1664</v>
      </c>
      <c r="T8" s="25">
        <f>K8-B8</f>
        <v>4633</v>
      </c>
      <c r="U8" s="25">
        <f t="shared" ref="U8:U27" si="3">L8-C8</f>
        <v>-1407</v>
      </c>
      <c r="V8" s="25">
        <f t="shared" ref="V8:V27" si="4">M8-D8</f>
        <v>3226</v>
      </c>
      <c r="W8" s="25">
        <f t="shared" ref="W8:W27" si="5">N8-E8</f>
        <v>4504</v>
      </c>
      <c r="X8" s="25">
        <f t="shared" ref="X8:X27" si="6">O8-F8</f>
        <v>-2693</v>
      </c>
      <c r="Y8" s="25">
        <f t="shared" ref="Y8:Y27" si="7">P8-G8</f>
        <v>1811</v>
      </c>
      <c r="Z8" s="25">
        <f t="shared" ref="Z8:Z27" si="8">Q8-H8</f>
        <v>129</v>
      </c>
      <c r="AA8" s="25">
        <f t="shared" ref="AA8:AA27" si="9">R8-I8</f>
        <v>1286</v>
      </c>
      <c r="AB8" s="25">
        <f t="shared" ref="AB8:AB27" si="10">S8-J8</f>
        <v>1415</v>
      </c>
      <c r="AC8" s="16" t="s">
        <v>22</v>
      </c>
    </row>
    <row r="9" spans="1:29">
      <c r="A9" s="12" t="s">
        <v>9</v>
      </c>
      <c r="B9" s="25">
        <v>0</v>
      </c>
      <c r="C9" s="25">
        <f>129881-230+800</f>
        <v>130451</v>
      </c>
      <c r="D9" s="25">
        <f t="shared" si="0"/>
        <v>130451</v>
      </c>
      <c r="E9" s="25">
        <v>0</v>
      </c>
      <c r="F9" s="25">
        <f>129651+800</f>
        <v>130451</v>
      </c>
      <c r="G9" s="25">
        <f t="shared" si="1"/>
        <v>130451</v>
      </c>
      <c r="H9" s="25">
        <f t="shared" ref="H9:H19" si="11">B9-E9</f>
        <v>0</v>
      </c>
      <c r="I9" s="25">
        <f t="shared" ref="I9:I19" si="12">C9-F9</f>
        <v>0</v>
      </c>
      <c r="J9" s="25">
        <f t="shared" ref="J9:J19" si="13">D9-G9</f>
        <v>0</v>
      </c>
      <c r="K9" s="25">
        <v>0</v>
      </c>
      <c r="L9" s="25">
        <f>136278+900</f>
        <v>137178</v>
      </c>
      <c r="M9" s="26">
        <f>K9+L9</f>
        <v>137178</v>
      </c>
      <c r="N9" s="25">
        <v>0</v>
      </c>
      <c r="O9" s="25">
        <f>119885+900</f>
        <v>120785</v>
      </c>
      <c r="P9" s="26">
        <f t="shared" si="2"/>
        <v>120785</v>
      </c>
      <c r="Q9" s="25">
        <f t="shared" ref="Q9:Q19" si="14">K9-N9</f>
        <v>0</v>
      </c>
      <c r="R9" s="25">
        <f t="shared" ref="R9:R19" si="15">L9-O9</f>
        <v>16393</v>
      </c>
      <c r="S9" s="25">
        <f t="shared" ref="S9:S19" si="16">M9-P9</f>
        <v>16393</v>
      </c>
      <c r="T9" s="25">
        <f t="shared" ref="T9:T27" si="17">K9-B9</f>
        <v>0</v>
      </c>
      <c r="U9" s="25">
        <f t="shared" si="3"/>
        <v>6727</v>
      </c>
      <c r="V9" s="25">
        <f t="shared" si="4"/>
        <v>6727</v>
      </c>
      <c r="W9" s="25">
        <f t="shared" si="5"/>
        <v>0</v>
      </c>
      <c r="X9" s="25">
        <f t="shared" si="6"/>
        <v>-9666</v>
      </c>
      <c r="Y9" s="25">
        <f t="shared" si="7"/>
        <v>-9666</v>
      </c>
      <c r="Z9" s="25">
        <f t="shared" si="8"/>
        <v>0</v>
      </c>
      <c r="AA9" s="25">
        <f t="shared" si="9"/>
        <v>16393</v>
      </c>
      <c r="AB9" s="25">
        <f t="shared" si="10"/>
        <v>16393</v>
      </c>
      <c r="AC9" s="16" t="s">
        <v>23</v>
      </c>
    </row>
    <row r="10" spans="1:29">
      <c r="A10" s="12" t="s">
        <v>3</v>
      </c>
      <c r="B10" s="25">
        <f>80+341</f>
        <v>421</v>
      </c>
      <c r="C10" s="27">
        <f>233566-2620+22271+2294+47741+329-40</f>
        <v>303541</v>
      </c>
      <c r="D10" s="25">
        <f t="shared" si="0"/>
        <v>303962</v>
      </c>
      <c r="E10" s="25">
        <f>80+341</f>
        <v>421</v>
      </c>
      <c r="F10" s="27">
        <f>227946+22271+47741+329+2254</f>
        <v>300541</v>
      </c>
      <c r="G10" s="25">
        <f t="shared" si="1"/>
        <v>300962</v>
      </c>
      <c r="H10" s="25">
        <f t="shared" si="11"/>
        <v>0</v>
      </c>
      <c r="I10" s="25">
        <f t="shared" si="12"/>
        <v>3000</v>
      </c>
      <c r="J10" s="25">
        <f t="shared" si="13"/>
        <v>3000</v>
      </c>
      <c r="K10" s="25">
        <f>5440+0+0</f>
        <v>5440</v>
      </c>
      <c r="L10" s="27">
        <f>217188+17753+46552+630+2655</f>
        <v>284778</v>
      </c>
      <c r="M10" s="26">
        <f>K10+L10</f>
        <v>290218</v>
      </c>
      <c r="N10" s="25">
        <f>2440</f>
        <v>2440</v>
      </c>
      <c r="O10" s="27">
        <f>216188+17253+46552+590+2566</f>
        <v>283149</v>
      </c>
      <c r="P10" s="26">
        <f t="shared" si="2"/>
        <v>285589</v>
      </c>
      <c r="Q10" s="25">
        <f t="shared" si="14"/>
        <v>3000</v>
      </c>
      <c r="R10" s="25">
        <f t="shared" si="15"/>
        <v>1629</v>
      </c>
      <c r="S10" s="25">
        <f t="shared" si="16"/>
        <v>4629</v>
      </c>
      <c r="T10" s="25">
        <f t="shared" si="17"/>
        <v>5019</v>
      </c>
      <c r="U10" s="25">
        <f t="shared" si="3"/>
        <v>-18763</v>
      </c>
      <c r="V10" s="25">
        <f t="shared" si="4"/>
        <v>-13744</v>
      </c>
      <c r="W10" s="25">
        <f t="shared" si="5"/>
        <v>2019</v>
      </c>
      <c r="X10" s="25">
        <f t="shared" si="6"/>
        <v>-17392</v>
      </c>
      <c r="Y10" s="25">
        <f t="shared" si="7"/>
        <v>-15373</v>
      </c>
      <c r="Z10" s="25">
        <f t="shared" si="8"/>
        <v>3000</v>
      </c>
      <c r="AA10" s="25">
        <f t="shared" si="9"/>
        <v>-1371</v>
      </c>
      <c r="AB10" s="25">
        <f t="shared" si="10"/>
        <v>1629</v>
      </c>
      <c r="AC10" s="16" t="s">
        <v>24</v>
      </c>
    </row>
    <row r="11" spans="1:29">
      <c r="A11" s="12" t="s">
        <v>1</v>
      </c>
      <c r="B11" s="25">
        <v>0</v>
      </c>
      <c r="C11" s="25">
        <f>218510-7800+285</f>
        <v>210995</v>
      </c>
      <c r="D11" s="25">
        <f t="shared" si="0"/>
        <v>210995</v>
      </c>
      <c r="E11" s="25">
        <v>0</v>
      </c>
      <c r="F11" s="25">
        <f>209687+285</f>
        <v>209972</v>
      </c>
      <c r="G11" s="25">
        <f t="shared" si="1"/>
        <v>209972</v>
      </c>
      <c r="H11" s="25">
        <f t="shared" si="11"/>
        <v>0</v>
      </c>
      <c r="I11" s="25">
        <f t="shared" si="12"/>
        <v>1023</v>
      </c>
      <c r="J11" s="25">
        <f t="shared" si="13"/>
        <v>1023</v>
      </c>
      <c r="K11" s="25">
        <v>8823</v>
      </c>
      <c r="L11" s="25">
        <f>222282+315</f>
        <v>222597</v>
      </c>
      <c r="M11" s="26">
        <f>L11+K11</f>
        <v>231420</v>
      </c>
      <c r="N11" s="25">
        <v>0</v>
      </c>
      <c r="O11" s="25">
        <f>222282+252</f>
        <v>222534</v>
      </c>
      <c r="P11" s="26">
        <f t="shared" si="2"/>
        <v>222534</v>
      </c>
      <c r="Q11" s="25">
        <f t="shared" si="14"/>
        <v>8823</v>
      </c>
      <c r="R11" s="25">
        <f t="shared" si="15"/>
        <v>63</v>
      </c>
      <c r="S11" s="25">
        <f t="shared" si="16"/>
        <v>8886</v>
      </c>
      <c r="T11" s="25">
        <f t="shared" si="17"/>
        <v>8823</v>
      </c>
      <c r="U11" s="25">
        <f t="shared" si="3"/>
        <v>11602</v>
      </c>
      <c r="V11" s="25">
        <f t="shared" si="4"/>
        <v>20425</v>
      </c>
      <c r="W11" s="25">
        <f t="shared" si="5"/>
        <v>0</v>
      </c>
      <c r="X11" s="25">
        <f t="shared" si="6"/>
        <v>12562</v>
      </c>
      <c r="Y11" s="25">
        <f t="shared" si="7"/>
        <v>12562</v>
      </c>
      <c r="Z11" s="25">
        <f t="shared" si="8"/>
        <v>8823</v>
      </c>
      <c r="AA11" s="25">
        <f t="shared" si="9"/>
        <v>-960</v>
      </c>
      <c r="AB11" s="25">
        <f t="shared" si="10"/>
        <v>7863</v>
      </c>
      <c r="AC11" s="16" t="s">
        <v>25</v>
      </c>
    </row>
    <row r="12" spans="1:29">
      <c r="A12" s="12" t="s">
        <v>7</v>
      </c>
      <c r="B12" s="25">
        <v>1520</v>
      </c>
      <c r="C12" s="25">
        <v>34357</v>
      </c>
      <c r="D12" s="25">
        <f t="shared" si="0"/>
        <v>35877</v>
      </c>
      <c r="E12" s="25">
        <v>1500</v>
      </c>
      <c r="F12" s="25">
        <v>34357</v>
      </c>
      <c r="G12" s="25">
        <f t="shared" si="1"/>
        <v>35857</v>
      </c>
      <c r="H12" s="25">
        <f t="shared" si="11"/>
        <v>20</v>
      </c>
      <c r="I12" s="25">
        <f t="shared" si="12"/>
        <v>0</v>
      </c>
      <c r="J12" s="25">
        <f t="shared" si="13"/>
        <v>20</v>
      </c>
      <c r="K12" s="25">
        <v>0</v>
      </c>
      <c r="L12" s="25">
        <v>32630</v>
      </c>
      <c r="M12" s="26">
        <f>L12+K12</f>
        <v>32630</v>
      </c>
      <c r="N12" s="25">
        <v>0</v>
      </c>
      <c r="O12" s="25">
        <v>32570</v>
      </c>
      <c r="P12" s="26">
        <f t="shared" si="2"/>
        <v>32570</v>
      </c>
      <c r="Q12" s="25">
        <f t="shared" si="14"/>
        <v>0</v>
      </c>
      <c r="R12" s="25">
        <f t="shared" si="15"/>
        <v>60</v>
      </c>
      <c r="S12" s="25">
        <f t="shared" si="16"/>
        <v>60</v>
      </c>
      <c r="T12" s="25">
        <f t="shared" si="17"/>
        <v>-1520</v>
      </c>
      <c r="U12" s="25">
        <f t="shared" si="3"/>
        <v>-1727</v>
      </c>
      <c r="V12" s="25">
        <f t="shared" si="4"/>
        <v>-3247</v>
      </c>
      <c r="W12" s="25">
        <f t="shared" si="5"/>
        <v>-1500</v>
      </c>
      <c r="X12" s="25">
        <f t="shared" si="6"/>
        <v>-1787</v>
      </c>
      <c r="Y12" s="25">
        <f t="shared" si="7"/>
        <v>-3287</v>
      </c>
      <c r="Z12" s="25">
        <f t="shared" si="8"/>
        <v>-20</v>
      </c>
      <c r="AA12" s="25">
        <f t="shared" si="9"/>
        <v>60</v>
      </c>
      <c r="AB12" s="25">
        <f t="shared" si="10"/>
        <v>40</v>
      </c>
      <c r="AC12" s="16" t="s">
        <v>26</v>
      </c>
    </row>
    <row r="13" spans="1:29">
      <c r="A13" s="12" t="s">
        <v>2</v>
      </c>
      <c r="B13" s="25">
        <f>38978-341</f>
        <v>38637</v>
      </c>
      <c r="C13" s="25">
        <f>157288-(22286-15)-(2294-40)-50-165-50-440-945-430-150-175-30</f>
        <v>130328</v>
      </c>
      <c r="D13" s="25">
        <f t="shared" si="0"/>
        <v>168965</v>
      </c>
      <c r="E13" s="25">
        <f>22215-341</f>
        <v>21874</v>
      </c>
      <c r="F13" s="25">
        <f>132084-22271-2254</f>
        <v>107559</v>
      </c>
      <c r="G13" s="25">
        <f t="shared" si="1"/>
        <v>129433</v>
      </c>
      <c r="H13" s="25">
        <f t="shared" si="11"/>
        <v>16763</v>
      </c>
      <c r="I13" s="25">
        <f t="shared" si="12"/>
        <v>22769</v>
      </c>
      <c r="J13" s="25">
        <f t="shared" si="13"/>
        <v>39532</v>
      </c>
      <c r="K13" s="25">
        <f>32550-0-0</f>
        <v>32550</v>
      </c>
      <c r="L13" s="25">
        <f>145787-17753-2655</f>
        <v>125379</v>
      </c>
      <c r="M13" s="26">
        <f>K13+L13</f>
        <v>157929</v>
      </c>
      <c r="N13" s="25">
        <f>16406-0-0</f>
        <v>16406</v>
      </c>
      <c r="O13" s="25">
        <f>125049-17253-2566</f>
        <v>105230</v>
      </c>
      <c r="P13" s="26">
        <f t="shared" si="2"/>
        <v>121636</v>
      </c>
      <c r="Q13" s="25">
        <f t="shared" si="14"/>
        <v>16144</v>
      </c>
      <c r="R13" s="25">
        <f t="shared" si="15"/>
        <v>20149</v>
      </c>
      <c r="S13" s="25">
        <f t="shared" si="16"/>
        <v>36293</v>
      </c>
      <c r="T13" s="25">
        <f t="shared" si="17"/>
        <v>-6087</v>
      </c>
      <c r="U13" s="25">
        <f t="shared" si="3"/>
        <v>-4949</v>
      </c>
      <c r="V13" s="25">
        <f t="shared" si="4"/>
        <v>-11036</v>
      </c>
      <c r="W13" s="25">
        <f t="shared" si="5"/>
        <v>-5468</v>
      </c>
      <c r="X13" s="25">
        <f t="shared" si="6"/>
        <v>-2329</v>
      </c>
      <c r="Y13" s="25">
        <f t="shared" si="7"/>
        <v>-7797</v>
      </c>
      <c r="Z13" s="25">
        <f t="shared" si="8"/>
        <v>-619</v>
      </c>
      <c r="AA13" s="25">
        <f t="shared" si="9"/>
        <v>-2620</v>
      </c>
      <c r="AB13" s="25">
        <f t="shared" si="10"/>
        <v>-3239</v>
      </c>
      <c r="AC13" s="16" t="s">
        <v>27</v>
      </c>
    </row>
    <row r="14" spans="1:29">
      <c r="A14" s="12" t="s">
        <v>10</v>
      </c>
      <c r="B14" s="25">
        <f>1520-1520+4799-792-0-0</f>
        <v>4007</v>
      </c>
      <c r="C14" s="25">
        <f>35875-34357+40344-36070-220-120-60</f>
        <v>5392</v>
      </c>
      <c r="D14" s="25">
        <f t="shared" si="0"/>
        <v>9399</v>
      </c>
      <c r="E14" s="25">
        <f>1500-1500+2132-722</f>
        <v>1410</v>
      </c>
      <c r="F14" s="25">
        <f>35745-34357+39230-36068-220</f>
        <v>4330</v>
      </c>
      <c r="G14" s="25">
        <f t="shared" si="1"/>
        <v>5740</v>
      </c>
      <c r="H14" s="25">
        <f t="shared" si="11"/>
        <v>2597</v>
      </c>
      <c r="I14" s="25">
        <f t="shared" si="12"/>
        <v>1062</v>
      </c>
      <c r="J14" s="25">
        <f t="shared" si="13"/>
        <v>3659</v>
      </c>
      <c r="K14" s="25">
        <f>0+3499-(72+0+0)</f>
        <v>3427</v>
      </c>
      <c r="L14" s="25">
        <f>33507-32630+60843-(35660+20494+0)</f>
        <v>5566</v>
      </c>
      <c r="M14" s="26">
        <f>K14+L14</f>
        <v>8993</v>
      </c>
      <c r="N14" s="25">
        <f>0+518</f>
        <v>518</v>
      </c>
      <c r="O14" s="25">
        <f>33166-32570+38710-(35639+494)</f>
        <v>3173</v>
      </c>
      <c r="P14" s="26">
        <f t="shared" si="2"/>
        <v>3691</v>
      </c>
      <c r="Q14" s="25">
        <f t="shared" si="14"/>
        <v>2909</v>
      </c>
      <c r="R14" s="25">
        <f t="shared" si="15"/>
        <v>2393</v>
      </c>
      <c r="S14" s="25">
        <f t="shared" si="16"/>
        <v>5302</v>
      </c>
      <c r="T14" s="25">
        <f t="shared" si="17"/>
        <v>-580</v>
      </c>
      <c r="U14" s="25">
        <f t="shared" si="3"/>
        <v>174</v>
      </c>
      <c r="V14" s="25">
        <f t="shared" si="4"/>
        <v>-406</v>
      </c>
      <c r="W14" s="25">
        <f t="shared" si="5"/>
        <v>-892</v>
      </c>
      <c r="X14" s="25">
        <f t="shared" si="6"/>
        <v>-1157</v>
      </c>
      <c r="Y14" s="25">
        <f t="shared" si="7"/>
        <v>-2049</v>
      </c>
      <c r="Z14" s="25">
        <f t="shared" si="8"/>
        <v>312</v>
      </c>
      <c r="AA14" s="25">
        <f t="shared" si="9"/>
        <v>1331</v>
      </c>
      <c r="AB14" s="25">
        <f t="shared" si="10"/>
        <v>1643</v>
      </c>
      <c r="AC14" s="17" t="s">
        <v>28</v>
      </c>
    </row>
    <row r="15" spans="1:29">
      <c r="A15" s="12" t="s">
        <v>4</v>
      </c>
      <c r="B15" s="25">
        <v>34242</v>
      </c>
      <c r="C15" s="25">
        <f>27259-260-190-150-25</f>
        <v>26634</v>
      </c>
      <c r="D15" s="25">
        <f t="shared" si="0"/>
        <v>60876</v>
      </c>
      <c r="E15" s="25">
        <v>13582</v>
      </c>
      <c r="F15" s="25">
        <v>11372</v>
      </c>
      <c r="G15" s="25">
        <f t="shared" si="1"/>
        <v>24954</v>
      </c>
      <c r="H15" s="25">
        <f t="shared" si="11"/>
        <v>20660</v>
      </c>
      <c r="I15" s="25">
        <f t="shared" si="12"/>
        <v>15262</v>
      </c>
      <c r="J15" s="25">
        <f t="shared" si="13"/>
        <v>35922</v>
      </c>
      <c r="K15" s="25">
        <v>33446</v>
      </c>
      <c r="L15" s="25">
        <v>23550</v>
      </c>
      <c r="M15" s="26">
        <f>L15+K15</f>
        <v>56996</v>
      </c>
      <c r="N15" s="25">
        <v>12407</v>
      </c>
      <c r="O15" s="25">
        <v>11761</v>
      </c>
      <c r="P15" s="26">
        <f t="shared" si="2"/>
        <v>24168</v>
      </c>
      <c r="Q15" s="25">
        <f t="shared" si="14"/>
        <v>21039</v>
      </c>
      <c r="R15" s="25">
        <f t="shared" si="15"/>
        <v>11789</v>
      </c>
      <c r="S15" s="25">
        <f t="shared" si="16"/>
        <v>32828</v>
      </c>
      <c r="T15" s="25">
        <f t="shared" si="17"/>
        <v>-796</v>
      </c>
      <c r="U15" s="25">
        <f t="shared" si="3"/>
        <v>-3084</v>
      </c>
      <c r="V15" s="25">
        <f t="shared" si="4"/>
        <v>-3880</v>
      </c>
      <c r="W15" s="25">
        <f t="shared" si="5"/>
        <v>-1175</v>
      </c>
      <c r="X15" s="25">
        <f t="shared" si="6"/>
        <v>389</v>
      </c>
      <c r="Y15" s="25">
        <f t="shared" si="7"/>
        <v>-786</v>
      </c>
      <c r="Z15" s="25">
        <f t="shared" si="8"/>
        <v>379</v>
      </c>
      <c r="AA15" s="25">
        <f t="shared" si="9"/>
        <v>-3473</v>
      </c>
      <c r="AB15" s="25">
        <f t="shared" si="10"/>
        <v>-3094</v>
      </c>
      <c r="AC15" s="16" t="s">
        <v>6</v>
      </c>
    </row>
    <row r="16" spans="1:29">
      <c r="A16" s="12" t="s">
        <v>12</v>
      </c>
      <c r="B16" s="25">
        <f>0-1588</f>
        <v>-1588</v>
      </c>
      <c r="C16" s="25">
        <f>-232813-19603</f>
        <v>-252416</v>
      </c>
      <c r="D16" s="25">
        <f t="shared" si="0"/>
        <v>-254004</v>
      </c>
      <c r="E16" s="25">
        <f>0-680</f>
        <v>-680</v>
      </c>
      <c r="F16" s="25">
        <f>-232813-19293</f>
        <v>-252106</v>
      </c>
      <c r="G16" s="25">
        <f t="shared" si="1"/>
        <v>-252786</v>
      </c>
      <c r="H16" s="25">
        <f t="shared" si="11"/>
        <v>-908</v>
      </c>
      <c r="I16" s="25">
        <f t="shared" si="12"/>
        <v>-310</v>
      </c>
      <c r="J16" s="25">
        <f t="shared" si="13"/>
        <v>-1218</v>
      </c>
      <c r="K16" s="25">
        <f>0-1218</f>
        <v>-1218</v>
      </c>
      <c r="L16" s="25">
        <f>-236959-19351</f>
        <v>-256310</v>
      </c>
      <c r="M16" s="25">
        <f>K16+L16</f>
        <v>-257528</v>
      </c>
      <c r="N16" s="25">
        <f>0-255</f>
        <v>-255</v>
      </c>
      <c r="O16" s="25">
        <f>-236959-19026</f>
        <v>-255985</v>
      </c>
      <c r="P16" s="25">
        <f>N16+O16</f>
        <v>-256240</v>
      </c>
      <c r="Q16" s="25">
        <f t="shared" si="14"/>
        <v>-963</v>
      </c>
      <c r="R16" s="25">
        <f t="shared" si="15"/>
        <v>-325</v>
      </c>
      <c r="S16" s="25">
        <f t="shared" si="16"/>
        <v>-1288</v>
      </c>
      <c r="T16" s="25">
        <f t="shared" si="17"/>
        <v>370</v>
      </c>
      <c r="U16" s="25">
        <f t="shared" si="3"/>
        <v>-3894</v>
      </c>
      <c r="V16" s="25">
        <f t="shared" si="4"/>
        <v>-3524</v>
      </c>
      <c r="W16" s="25">
        <f t="shared" si="5"/>
        <v>425</v>
      </c>
      <c r="X16" s="25">
        <f t="shared" si="6"/>
        <v>-3879</v>
      </c>
      <c r="Y16" s="25">
        <f t="shared" si="7"/>
        <v>-3454</v>
      </c>
      <c r="Z16" s="25">
        <f t="shared" si="8"/>
        <v>-55</v>
      </c>
      <c r="AA16" s="25">
        <f t="shared" si="9"/>
        <v>-15</v>
      </c>
      <c r="AB16" s="25">
        <f t="shared" si="10"/>
        <v>-70</v>
      </c>
      <c r="AC16" s="16" t="s">
        <v>31</v>
      </c>
    </row>
    <row r="17" spans="1:29">
      <c r="A17" s="12" t="s">
        <v>5</v>
      </c>
      <c r="B17" s="25">
        <v>2488</v>
      </c>
      <c r="C17" s="25">
        <v>68209</v>
      </c>
      <c r="D17" s="25">
        <f t="shared" si="0"/>
        <v>70697</v>
      </c>
      <c r="E17" s="25">
        <v>1232</v>
      </c>
      <c r="F17" s="25">
        <v>67669</v>
      </c>
      <c r="G17" s="25">
        <f t="shared" si="1"/>
        <v>68901</v>
      </c>
      <c r="H17" s="25">
        <f t="shared" si="11"/>
        <v>1256</v>
      </c>
      <c r="I17" s="25">
        <f t="shared" si="12"/>
        <v>540</v>
      </c>
      <c r="J17" s="25">
        <f t="shared" si="13"/>
        <v>1796</v>
      </c>
      <c r="K17" s="25">
        <v>1796</v>
      </c>
      <c r="L17" s="25">
        <v>68366</v>
      </c>
      <c r="M17" s="26">
        <f>L17+K17</f>
        <v>70162</v>
      </c>
      <c r="N17" s="25">
        <v>782</v>
      </c>
      <c r="O17" s="25">
        <v>67979</v>
      </c>
      <c r="P17" s="26">
        <f>SUM(N17+O17)</f>
        <v>68761</v>
      </c>
      <c r="Q17" s="25">
        <f t="shared" si="14"/>
        <v>1014</v>
      </c>
      <c r="R17" s="25">
        <f t="shared" si="15"/>
        <v>387</v>
      </c>
      <c r="S17" s="25">
        <f t="shared" si="16"/>
        <v>1401</v>
      </c>
      <c r="T17" s="25">
        <f t="shared" si="17"/>
        <v>-692</v>
      </c>
      <c r="U17" s="25">
        <f t="shared" si="3"/>
        <v>157</v>
      </c>
      <c r="V17" s="25">
        <f t="shared" si="4"/>
        <v>-535</v>
      </c>
      <c r="W17" s="25">
        <f t="shared" si="5"/>
        <v>-450</v>
      </c>
      <c r="X17" s="25">
        <f t="shared" si="6"/>
        <v>310</v>
      </c>
      <c r="Y17" s="25">
        <f t="shared" si="7"/>
        <v>-140</v>
      </c>
      <c r="Z17" s="25">
        <f t="shared" si="8"/>
        <v>-242</v>
      </c>
      <c r="AA17" s="25">
        <f t="shared" si="9"/>
        <v>-153</v>
      </c>
      <c r="AB17" s="25">
        <f t="shared" si="10"/>
        <v>-395</v>
      </c>
      <c r="AC17" s="16" t="s">
        <v>30</v>
      </c>
    </row>
    <row r="18" spans="1:29">
      <c r="A18" s="12" t="s">
        <v>13</v>
      </c>
      <c r="B18" s="25">
        <f>0-2305-756</f>
        <v>-3061</v>
      </c>
      <c r="C18" s="25">
        <f>-57-453-1415-176-5607-979</f>
        <v>-8687</v>
      </c>
      <c r="D18" s="25">
        <f t="shared" si="0"/>
        <v>-11748</v>
      </c>
      <c r="E18" s="28">
        <f>0-2116-9</f>
        <v>-2125</v>
      </c>
      <c r="F18" s="29">
        <f>-57-453-1415-176-4977-979</f>
        <v>-8057</v>
      </c>
      <c r="G18" s="25">
        <f t="shared" si="1"/>
        <v>-10182</v>
      </c>
      <c r="H18" s="25">
        <f t="shared" si="11"/>
        <v>-936</v>
      </c>
      <c r="I18" s="25">
        <f t="shared" si="12"/>
        <v>-630</v>
      </c>
      <c r="J18" s="25">
        <f t="shared" si="13"/>
        <v>-1566</v>
      </c>
      <c r="K18" s="29">
        <f>0-819-746</f>
        <v>-1565</v>
      </c>
      <c r="L18" s="29">
        <f>-68-4020-1504-0-5962-2762</f>
        <v>-14316</v>
      </c>
      <c r="M18" s="26">
        <f>L18+K18</f>
        <v>-15881</v>
      </c>
      <c r="N18" s="29">
        <f>0-462</f>
        <v>-462</v>
      </c>
      <c r="O18" s="29">
        <f>-68-4020-1505-0-756-2762</f>
        <v>-9111</v>
      </c>
      <c r="P18" s="26">
        <f>SUM(N18+O18)</f>
        <v>-9573</v>
      </c>
      <c r="Q18" s="25">
        <f t="shared" si="14"/>
        <v>-1103</v>
      </c>
      <c r="R18" s="25">
        <f t="shared" si="15"/>
        <v>-5205</v>
      </c>
      <c r="S18" s="25">
        <f t="shared" si="16"/>
        <v>-6308</v>
      </c>
      <c r="T18" s="25">
        <f t="shared" si="17"/>
        <v>1496</v>
      </c>
      <c r="U18" s="25">
        <f t="shared" si="3"/>
        <v>-5629</v>
      </c>
      <c r="V18" s="25">
        <f t="shared" si="4"/>
        <v>-4133</v>
      </c>
      <c r="W18" s="25">
        <f t="shared" si="5"/>
        <v>1663</v>
      </c>
      <c r="X18" s="25">
        <f t="shared" si="6"/>
        <v>-1054</v>
      </c>
      <c r="Y18" s="25">
        <f t="shared" si="7"/>
        <v>609</v>
      </c>
      <c r="Z18" s="25">
        <f t="shared" si="8"/>
        <v>-167</v>
      </c>
      <c r="AA18" s="25">
        <f t="shared" si="9"/>
        <v>-4575</v>
      </c>
      <c r="AB18" s="25">
        <f t="shared" si="10"/>
        <v>-4742</v>
      </c>
      <c r="AC18" s="18" t="s">
        <v>14</v>
      </c>
    </row>
    <row r="19" spans="1:29">
      <c r="A19" s="12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f t="shared" si="1"/>
        <v>0</v>
      </c>
      <c r="H19" s="25">
        <f t="shared" si="11"/>
        <v>0</v>
      </c>
      <c r="I19" s="25">
        <f t="shared" si="12"/>
        <v>0</v>
      </c>
      <c r="J19" s="25">
        <f t="shared" si="13"/>
        <v>0</v>
      </c>
      <c r="K19" s="25">
        <v>0</v>
      </c>
      <c r="L19" s="25">
        <v>-40000</v>
      </c>
      <c r="M19" s="26">
        <f>L19+K19</f>
        <v>-40000</v>
      </c>
      <c r="N19" s="25">
        <v>0</v>
      </c>
      <c r="O19" s="25">
        <v>-40000</v>
      </c>
      <c r="P19" s="26">
        <f>O19+N19</f>
        <v>-40000</v>
      </c>
      <c r="Q19" s="25">
        <f t="shared" si="14"/>
        <v>0</v>
      </c>
      <c r="R19" s="25">
        <f t="shared" si="15"/>
        <v>0</v>
      </c>
      <c r="S19" s="25">
        <f t="shared" si="16"/>
        <v>0</v>
      </c>
      <c r="T19" s="25">
        <f t="shared" si="17"/>
        <v>0</v>
      </c>
      <c r="U19" s="25">
        <f t="shared" si="3"/>
        <v>-40000</v>
      </c>
      <c r="V19" s="25">
        <f t="shared" si="4"/>
        <v>-40000</v>
      </c>
      <c r="W19" s="25">
        <f t="shared" si="5"/>
        <v>0</v>
      </c>
      <c r="X19" s="25">
        <f t="shared" si="6"/>
        <v>-40000</v>
      </c>
      <c r="Y19" s="25">
        <f t="shared" si="7"/>
        <v>-40000</v>
      </c>
      <c r="Z19" s="25">
        <f t="shared" si="8"/>
        <v>0</v>
      </c>
      <c r="AA19" s="25">
        <f t="shared" si="9"/>
        <v>0</v>
      </c>
      <c r="AB19" s="25">
        <f t="shared" si="10"/>
        <v>0</v>
      </c>
      <c r="AC19" s="19" t="s">
        <v>29</v>
      </c>
    </row>
    <row r="20" spans="1:29">
      <c r="A20" s="12"/>
      <c r="B20" s="25"/>
      <c r="C20" s="25"/>
      <c r="D20" s="25"/>
      <c r="E20" s="25"/>
      <c r="F20" s="25"/>
      <c r="G20" s="25"/>
      <c r="H20" s="25"/>
      <c r="I20" s="25"/>
      <c r="J20" s="26"/>
      <c r="K20" s="25"/>
      <c r="L20" s="25"/>
      <c r="M20" s="26"/>
      <c r="N20" s="25"/>
      <c r="O20" s="25"/>
      <c r="P20" s="26"/>
      <c r="Q20" s="26"/>
      <c r="R20" s="26"/>
      <c r="S20" s="26"/>
      <c r="T20" s="25"/>
      <c r="U20" s="25"/>
      <c r="V20" s="25"/>
      <c r="W20" s="25"/>
      <c r="X20" s="25"/>
      <c r="Y20" s="25"/>
      <c r="Z20" s="25"/>
      <c r="AA20" s="25"/>
      <c r="AB20" s="25"/>
      <c r="AC20" s="19"/>
    </row>
    <row r="21" spans="1:29">
      <c r="A21" s="12"/>
      <c r="B21" s="23"/>
      <c r="C21" s="23"/>
      <c r="D21" s="23"/>
      <c r="E21" s="23"/>
      <c r="F21" s="23"/>
      <c r="G21" s="23"/>
      <c r="H21" s="23"/>
      <c r="I21" s="23"/>
      <c r="J21" s="24"/>
      <c r="K21" s="23"/>
      <c r="L21" s="23"/>
      <c r="M21" s="24"/>
      <c r="N21" s="23"/>
      <c r="O21" s="23"/>
      <c r="P21" s="24"/>
      <c r="Q21" s="24"/>
      <c r="R21" s="24"/>
      <c r="S21" s="24"/>
      <c r="T21" s="25"/>
      <c r="U21" s="25"/>
      <c r="V21" s="25"/>
      <c r="W21" s="25"/>
      <c r="X21" s="25"/>
      <c r="Y21" s="25"/>
      <c r="Z21" s="25"/>
      <c r="AA21" s="25"/>
      <c r="AB21" s="25"/>
      <c r="AC21" s="16"/>
    </row>
    <row r="22" spans="1:29">
      <c r="A22" s="12" t="s">
        <v>36</v>
      </c>
      <c r="B22" s="23">
        <f>SUM(B8:B17)</f>
        <v>82904</v>
      </c>
      <c r="C22" s="23">
        <f t="shared" ref="C22:S22" si="18">SUM(C8:C17)</f>
        <v>803428</v>
      </c>
      <c r="D22" s="23">
        <f t="shared" si="18"/>
        <v>886332</v>
      </c>
      <c r="E22" s="23">
        <f t="shared" si="18"/>
        <v>42407</v>
      </c>
      <c r="F22" s="23">
        <f t="shared" si="18"/>
        <v>759942</v>
      </c>
      <c r="G22" s="23">
        <f t="shared" si="18"/>
        <v>802349</v>
      </c>
      <c r="H22" s="23">
        <f t="shared" si="18"/>
        <v>40497</v>
      </c>
      <c r="I22" s="23">
        <f t="shared" si="18"/>
        <v>43486</v>
      </c>
      <c r="J22" s="23">
        <f t="shared" si="18"/>
        <v>83983</v>
      </c>
      <c r="K22" s="23">
        <f t="shared" si="18"/>
        <v>92074</v>
      </c>
      <c r="L22" s="23">
        <f t="shared" si="18"/>
        <v>788264</v>
      </c>
      <c r="M22" s="23">
        <f t="shared" si="18"/>
        <v>880338</v>
      </c>
      <c r="N22" s="23">
        <f t="shared" si="18"/>
        <v>39870</v>
      </c>
      <c r="O22" s="23">
        <f t="shared" si="18"/>
        <v>734300</v>
      </c>
      <c r="P22" s="23">
        <f t="shared" si="18"/>
        <v>774170</v>
      </c>
      <c r="Q22" s="23">
        <f t="shared" si="18"/>
        <v>52204</v>
      </c>
      <c r="R22" s="23">
        <f t="shared" si="18"/>
        <v>53964</v>
      </c>
      <c r="S22" s="23">
        <f t="shared" si="18"/>
        <v>106168</v>
      </c>
      <c r="T22" s="25">
        <f t="shared" si="17"/>
        <v>9170</v>
      </c>
      <c r="U22" s="25">
        <f t="shared" si="3"/>
        <v>-15164</v>
      </c>
      <c r="V22" s="25">
        <f t="shared" si="4"/>
        <v>-5994</v>
      </c>
      <c r="W22" s="25">
        <f t="shared" si="5"/>
        <v>-2537</v>
      </c>
      <c r="X22" s="25">
        <f t="shared" si="6"/>
        <v>-25642</v>
      </c>
      <c r="Y22" s="25">
        <f t="shared" si="7"/>
        <v>-28179</v>
      </c>
      <c r="Z22" s="25">
        <f t="shared" si="8"/>
        <v>11707</v>
      </c>
      <c r="AA22" s="25">
        <f t="shared" si="9"/>
        <v>10478</v>
      </c>
      <c r="AB22" s="25">
        <f t="shared" si="10"/>
        <v>22185</v>
      </c>
      <c r="AC22" s="19"/>
    </row>
    <row r="23" spans="1:29">
      <c r="A23" s="12" t="s">
        <v>37</v>
      </c>
      <c r="B23" s="23">
        <f>SUM(B8:B18)</f>
        <v>79843</v>
      </c>
      <c r="C23" s="23">
        <f t="shared" ref="C23:S23" si="19">SUM(C8:C18)</f>
        <v>794741</v>
      </c>
      <c r="D23" s="23">
        <f t="shared" si="19"/>
        <v>874584</v>
      </c>
      <c r="E23" s="23">
        <f t="shared" si="19"/>
        <v>40282</v>
      </c>
      <c r="F23" s="23">
        <f t="shared" si="19"/>
        <v>751885</v>
      </c>
      <c r="G23" s="23">
        <f t="shared" si="19"/>
        <v>792167</v>
      </c>
      <c r="H23" s="23">
        <f t="shared" si="19"/>
        <v>39561</v>
      </c>
      <c r="I23" s="23">
        <f t="shared" si="19"/>
        <v>42856</v>
      </c>
      <c r="J23" s="23">
        <f t="shared" si="19"/>
        <v>82417</v>
      </c>
      <c r="K23" s="23">
        <f t="shared" si="19"/>
        <v>90509</v>
      </c>
      <c r="L23" s="23">
        <f t="shared" si="19"/>
        <v>773948</v>
      </c>
      <c r="M23" s="23">
        <f t="shared" si="19"/>
        <v>864457</v>
      </c>
      <c r="N23" s="23">
        <f t="shared" si="19"/>
        <v>39408</v>
      </c>
      <c r="O23" s="23">
        <f t="shared" si="19"/>
        <v>725189</v>
      </c>
      <c r="P23" s="23">
        <f t="shared" si="19"/>
        <v>764597</v>
      </c>
      <c r="Q23" s="23">
        <f t="shared" si="19"/>
        <v>51101</v>
      </c>
      <c r="R23" s="23">
        <f t="shared" si="19"/>
        <v>48759</v>
      </c>
      <c r="S23" s="23">
        <f t="shared" si="19"/>
        <v>99860</v>
      </c>
      <c r="T23" s="25">
        <f t="shared" si="17"/>
        <v>10666</v>
      </c>
      <c r="U23" s="25">
        <f t="shared" si="3"/>
        <v>-20793</v>
      </c>
      <c r="V23" s="25">
        <f t="shared" si="4"/>
        <v>-10127</v>
      </c>
      <c r="W23" s="25">
        <f t="shared" si="5"/>
        <v>-874</v>
      </c>
      <c r="X23" s="25">
        <f t="shared" si="6"/>
        <v>-26696</v>
      </c>
      <c r="Y23" s="25">
        <f t="shared" si="7"/>
        <v>-27570</v>
      </c>
      <c r="Z23" s="25">
        <f t="shared" si="8"/>
        <v>11540</v>
      </c>
      <c r="AA23" s="25">
        <f t="shared" si="9"/>
        <v>5903</v>
      </c>
      <c r="AB23" s="25">
        <f t="shared" si="10"/>
        <v>17443</v>
      </c>
      <c r="AC23" s="19"/>
    </row>
    <row r="24" spans="1:29">
      <c r="A24" s="12" t="s">
        <v>38</v>
      </c>
      <c r="B24" s="23">
        <f>SUM(B8:B19)</f>
        <v>79843</v>
      </c>
      <c r="C24" s="23">
        <f t="shared" ref="C24:S24" si="20">SUM(C8:C19)</f>
        <v>794741</v>
      </c>
      <c r="D24" s="23">
        <f t="shared" si="20"/>
        <v>874584</v>
      </c>
      <c r="E24" s="23">
        <f t="shared" si="20"/>
        <v>40282</v>
      </c>
      <c r="F24" s="23">
        <f t="shared" si="20"/>
        <v>751885</v>
      </c>
      <c r="G24" s="23">
        <f t="shared" si="20"/>
        <v>792167</v>
      </c>
      <c r="H24" s="23">
        <f t="shared" si="20"/>
        <v>39561</v>
      </c>
      <c r="I24" s="23">
        <f t="shared" si="20"/>
        <v>42856</v>
      </c>
      <c r="J24" s="23">
        <f t="shared" si="20"/>
        <v>82417</v>
      </c>
      <c r="K24" s="23">
        <f t="shared" si="20"/>
        <v>90509</v>
      </c>
      <c r="L24" s="23">
        <f t="shared" si="20"/>
        <v>733948</v>
      </c>
      <c r="M24" s="23">
        <f t="shared" si="20"/>
        <v>824457</v>
      </c>
      <c r="N24" s="23">
        <f t="shared" si="20"/>
        <v>39408</v>
      </c>
      <c r="O24" s="23">
        <f t="shared" si="20"/>
        <v>685189</v>
      </c>
      <c r="P24" s="23">
        <f t="shared" si="20"/>
        <v>724597</v>
      </c>
      <c r="Q24" s="23">
        <f t="shared" si="20"/>
        <v>51101</v>
      </c>
      <c r="R24" s="23">
        <f t="shared" si="20"/>
        <v>48759</v>
      </c>
      <c r="S24" s="23">
        <f t="shared" si="20"/>
        <v>99860</v>
      </c>
      <c r="T24" s="25">
        <f t="shared" si="17"/>
        <v>10666</v>
      </c>
      <c r="U24" s="25">
        <f t="shared" si="3"/>
        <v>-60793</v>
      </c>
      <c r="V24" s="25">
        <f t="shared" si="4"/>
        <v>-50127</v>
      </c>
      <c r="W24" s="25">
        <f t="shared" si="5"/>
        <v>-874</v>
      </c>
      <c r="X24" s="25">
        <f t="shared" si="6"/>
        <v>-66696</v>
      </c>
      <c r="Y24" s="25">
        <f t="shared" si="7"/>
        <v>-67570</v>
      </c>
      <c r="Z24" s="25">
        <f t="shared" si="8"/>
        <v>11540</v>
      </c>
      <c r="AA24" s="25">
        <f t="shared" si="9"/>
        <v>5903</v>
      </c>
      <c r="AB24" s="25">
        <f t="shared" si="10"/>
        <v>17443</v>
      </c>
      <c r="AC24" s="19"/>
    </row>
    <row r="25" spans="1:29">
      <c r="A25" s="12" t="s">
        <v>46</v>
      </c>
      <c r="B25" s="23">
        <f>SUM(B8:B16)</f>
        <v>80416</v>
      </c>
      <c r="C25" s="23">
        <f t="shared" ref="C25:S25" si="21">SUM(C8:C16)</f>
        <v>735219</v>
      </c>
      <c r="D25" s="23">
        <f t="shared" si="21"/>
        <v>815635</v>
      </c>
      <c r="E25" s="23">
        <f t="shared" si="21"/>
        <v>41175</v>
      </c>
      <c r="F25" s="23">
        <f t="shared" si="21"/>
        <v>692273</v>
      </c>
      <c r="G25" s="23">
        <f t="shared" si="21"/>
        <v>733448</v>
      </c>
      <c r="H25" s="23">
        <f t="shared" si="21"/>
        <v>39241</v>
      </c>
      <c r="I25" s="23">
        <f t="shared" si="21"/>
        <v>42946</v>
      </c>
      <c r="J25" s="23">
        <f t="shared" si="21"/>
        <v>82187</v>
      </c>
      <c r="K25" s="23">
        <f t="shared" si="21"/>
        <v>90278</v>
      </c>
      <c r="L25" s="23">
        <f t="shared" si="21"/>
        <v>719898</v>
      </c>
      <c r="M25" s="23">
        <f t="shared" si="21"/>
        <v>810176</v>
      </c>
      <c r="N25" s="23">
        <f t="shared" si="21"/>
        <v>39088</v>
      </c>
      <c r="O25" s="23">
        <f t="shared" si="21"/>
        <v>666321</v>
      </c>
      <c r="P25" s="23">
        <f t="shared" si="21"/>
        <v>705409</v>
      </c>
      <c r="Q25" s="23">
        <f t="shared" si="21"/>
        <v>51190</v>
      </c>
      <c r="R25" s="23">
        <f t="shared" si="21"/>
        <v>53577</v>
      </c>
      <c r="S25" s="23">
        <f t="shared" si="21"/>
        <v>104767</v>
      </c>
      <c r="T25" s="25">
        <f t="shared" si="17"/>
        <v>9862</v>
      </c>
      <c r="U25" s="25">
        <f t="shared" si="3"/>
        <v>-15321</v>
      </c>
      <c r="V25" s="25">
        <f t="shared" si="4"/>
        <v>-5459</v>
      </c>
      <c r="W25" s="25">
        <f t="shared" si="5"/>
        <v>-2087</v>
      </c>
      <c r="X25" s="25">
        <f t="shared" si="6"/>
        <v>-25952</v>
      </c>
      <c r="Y25" s="25">
        <f t="shared" si="7"/>
        <v>-28039</v>
      </c>
      <c r="Z25" s="25">
        <f t="shared" si="8"/>
        <v>11949</v>
      </c>
      <c r="AA25" s="25">
        <f t="shared" si="9"/>
        <v>10631</v>
      </c>
      <c r="AB25" s="25">
        <f t="shared" si="10"/>
        <v>22580</v>
      </c>
      <c r="AC25" s="16"/>
    </row>
    <row r="26" spans="1:29">
      <c r="A26" s="12" t="s">
        <v>47</v>
      </c>
      <c r="B26" s="23">
        <f>SUM(B8:B16) + B18</f>
        <v>77355</v>
      </c>
      <c r="C26" s="23">
        <f t="shared" ref="C26:S26" si="22">SUM(C8:C16) + C18</f>
        <v>726532</v>
      </c>
      <c r="D26" s="23">
        <f t="shared" si="22"/>
        <v>803887</v>
      </c>
      <c r="E26" s="23">
        <f t="shared" si="22"/>
        <v>39050</v>
      </c>
      <c r="F26" s="23">
        <f t="shared" si="22"/>
        <v>684216</v>
      </c>
      <c r="G26" s="23">
        <f t="shared" si="22"/>
        <v>723266</v>
      </c>
      <c r="H26" s="23">
        <f t="shared" si="22"/>
        <v>38305</v>
      </c>
      <c r="I26" s="23">
        <f t="shared" si="22"/>
        <v>42316</v>
      </c>
      <c r="J26" s="23">
        <f t="shared" si="22"/>
        <v>80621</v>
      </c>
      <c r="K26" s="23">
        <f t="shared" si="22"/>
        <v>88713</v>
      </c>
      <c r="L26" s="23">
        <f t="shared" si="22"/>
        <v>705582</v>
      </c>
      <c r="M26" s="23">
        <f t="shared" si="22"/>
        <v>794295</v>
      </c>
      <c r="N26" s="23">
        <f t="shared" si="22"/>
        <v>38626</v>
      </c>
      <c r="O26" s="23">
        <f t="shared" si="22"/>
        <v>657210</v>
      </c>
      <c r="P26" s="23">
        <f t="shared" si="22"/>
        <v>695836</v>
      </c>
      <c r="Q26" s="23">
        <f t="shared" si="22"/>
        <v>50087</v>
      </c>
      <c r="R26" s="23">
        <f t="shared" si="22"/>
        <v>48372</v>
      </c>
      <c r="S26" s="23">
        <f t="shared" si="22"/>
        <v>98459</v>
      </c>
      <c r="T26" s="25">
        <f t="shared" si="17"/>
        <v>11358</v>
      </c>
      <c r="U26" s="25">
        <f t="shared" si="3"/>
        <v>-20950</v>
      </c>
      <c r="V26" s="25">
        <f t="shared" si="4"/>
        <v>-9592</v>
      </c>
      <c r="W26" s="25">
        <f t="shared" si="5"/>
        <v>-424</v>
      </c>
      <c r="X26" s="25">
        <f t="shared" si="6"/>
        <v>-27006</v>
      </c>
      <c r="Y26" s="25">
        <f t="shared" si="7"/>
        <v>-27430</v>
      </c>
      <c r="Z26" s="25">
        <f t="shared" si="8"/>
        <v>11782</v>
      </c>
      <c r="AA26" s="25">
        <f t="shared" si="9"/>
        <v>6056</v>
      </c>
      <c r="AB26" s="25">
        <f t="shared" si="10"/>
        <v>17838</v>
      </c>
      <c r="AC26" s="32"/>
    </row>
    <row r="27" spans="1:29">
      <c r="A27" s="12" t="s">
        <v>61</v>
      </c>
      <c r="B27" s="23">
        <f>SUM(B8:B16) + B18 + B19</f>
        <v>77355</v>
      </c>
      <c r="C27" s="23">
        <f t="shared" ref="C27:S27" si="23">SUM(C8:C16) + C18 + C19</f>
        <v>726532</v>
      </c>
      <c r="D27" s="23">
        <f t="shared" si="23"/>
        <v>803887</v>
      </c>
      <c r="E27" s="23">
        <f t="shared" si="23"/>
        <v>39050</v>
      </c>
      <c r="F27" s="23">
        <f t="shared" si="23"/>
        <v>684216</v>
      </c>
      <c r="G27" s="23">
        <f t="shared" si="23"/>
        <v>723266</v>
      </c>
      <c r="H27" s="23">
        <f t="shared" si="23"/>
        <v>38305</v>
      </c>
      <c r="I27" s="23">
        <f t="shared" si="23"/>
        <v>42316</v>
      </c>
      <c r="J27" s="23">
        <f t="shared" si="23"/>
        <v>80621</v>
      </c>
      <c r="K27" s="23">
        <f t="shared" si="23"/>
        <v>88713</v>
      </c>
      <c r="L27" s="23">
        <f t="shared" si="23"/>
        <v>665582</v>
      </c>
      <c r="M27" s="23">
        <f t="shared" si="23"/>
        <v>754295</v>
      </c>
      <c r="N27" s="23">
        <f t="shared" si="23"/>
        <v>38626</v>
      </c>
      <c r="O27" s="23">
        <f t="shared" si="23"/>
        <v>617210</v>
      </c>
      <c r="P27" s="23">
        <f t="shared" si="23"/>
        <v>655836</v>
      </c>
      <c r="Q27" s="23">
        <f t="shared" si="23"/>
        <v>50087</v>
      </c>
      <c r="R27" s="23">
        <f t="shared" si="23"/>
        <v>48372</v>
      </c>
      <c r="S27" s="23">
        <f t="shared" si="23"/>
        <v>98459</v>
      </c>
      <c r="T27" s="25">
        <f t="shared" si="17"/>
        <v>11358</v>
      </c>
      <c r="U27" s="25">
        <f t="shared" si="3"/>
        <v>-60950</v>
      </c>
      <c r="V27" s="25">
        <f t="shared" si="4"/>
        <v>-49592</v>
      </c>
      <c r="W27" s="25">
        <f t="shared" si="5"/>
        <v>-424</v>
      </c>
      <c r="X27" s="25">
        <f t="shared" si="6"/>
        <v>-67006</v>
      </c>
      <c r="Y27" s="25">
        <f t="shared" si="7"/>
        <v>-67430</v>
      </c>
      <c r="Z27" s="25">
        <f t="shared" si="8"/>
        <v>11782</v>
      </c>
      <c r="AA27" s="25">
        <f t="shared" si="9"/>
        <v>6056</v>
      </c>
      <c r="AB27" s="25">
        <f t="shared" si="10"/>
        <v>17838</v>
      </c>
      <c r="AC27" s="32"/>
    </row>
    <row r="28" spans="1:29" ht="15.75" thickBot="1">
      <c r="A28" s="12"/>
      <c r="B28" s="9"/>
      <c r="C28" s="9"/>
      <c r="D28" s="9"/>
      <c r="E28" s="9"/>
      <c r="F28" s="9"/>
      <c r="G28" s="9"/>
      <c r="H28" s="9"/>
      <c r="I28" s="9"/>
      <c r="J28" s="7"/>
      <c r="K28" s="9"/>
      <c r="L28" s="9"/>
      <c r="M28" s="9"/>
      <c r="N28" s="9"/>
      <c r="O28" s="9"/>
      <c r="P28" s="9"/>
      <c r="Q28" s="9"/>
      <c r="R28" s="9"/>
      <c r="S28" s="7"/>
      <c r="T28" s="7"/>
      <c r="U28" s="7"/>
      <c r="V28" s="7"/>
      <c r="W28" s="7"/>
      <c r="X28" s="7"/>
      <c r="Y28" s="7"/>
      <c r="Z28" s="7"/>
      <c r="AA28" s="7"/>
      <c r="AB28" s="7"/>
      <c r="AC28" s="32"/>
    </row>
    <row r="29" spans="1:29" ht="15.75" thickTop="1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5"/>
    </row>
    <row r="30" spans="1:29">
      <c r="A30" s="12" t="s">
        <v>35</v>
      </c>
      <c r="B30" s="30">
        <v>792</v>
      </c>
      <c r="C30" s="30">
        <v>36070</v>
      </c>
      <c r="D30" s="23">
        <f>B30+C30</f>
        <v>36862</v>
      </c>
      <c r="E30" s="31">
        <v>722</v>
      </c>
      <c r="F30" s="31">
        <v>36068</v>
      </c>
      <c r="G30" s="23">
        <f>E30+F30</f>
        <v>36790</v>
      </c>
      <c r="H30" s="24">
        <f t="shared" ref="H30:I31" si="24">B30-E30</f>
        <v>70</v>
      </c>
      <c r="I30" s="24">
        <f t="shared" si="24"/>
        <v>2</v>
      </c>
      <c r="J30" s="24">
        <f>D30-G30</f>
        <v>72</v>
      </c>
      <c r="K30" s="31">
        <v>72</v>
      </c>
      <c r="L30" s="31">
        <v>35660</v>
      </c>
      <c r="M30" s="23">
        <f>K30+L30</f>
        <v>35732</v>
      </c>
      <c r="N30" s="31">
        <v>0</v>
      </c>
      <c r="O30" s="31">
        <v>35639</v>
      </c>
      <c r="P30" s="23">
        <f>N30+O30</f>
        <v>35639</v>
      </c>
      <c r="Q30" s="24">
        <f t="shared" ref="Q30:R30" si="25">K30-N30</f>
        <v>72</v>
      </c>
      <c r="R30" s="24">
        <f t="shared" si="25"/>
        <v>21</v>
      </c>
      <c r="S30" s="24">
        <f>M30-P30</f>
        <v>93</v>
      </c>
      <c r="T30" s="25">
        <f t="shared" ref="T30:T31" si="26">K30-B30</f>
        <v>-720</v>
      </c>
      <c r="U30" s="25">
        <f t="shared" ref="U30:U31" si="27">L30-C30</f>
        <v>-410</v>
      </c>
      <c r="V30" s="25">
        <f t="shared" ref="V30:V31" si="28">M30-D30</f>
        <v>-1130</v>
      </c>
      <c r="W30" s="25">
        <f t="shared" ref="W30:W31" si="29">N30-E30</f>
        <v>-722</v>
      </c>
      <c r="X30" s="25">
        <f t="shared" ref="X30:X31" si="30">O30-F30</f>
        <v>-429</v>
      </c>
      <c r="Y30" s="25">
        <f t="shared" ref="Y30:Y31" si="31">P30-G30</f>
        <v>-1151</v>
      </c>
      <c r="Z30" s="25">
        <f t="shared" ref="Z30:Z31" si="32">Q30-H30</f>
        <v>2</v>
      </c>
      <c r="AA30" s="25">
        <f t="shared" ref="AA30:AA31" si="33">R30-I30</f>
        <v>19</v>
      </c>
      <c r="AB30" s="25">
        <f t="shared" ref="AB30:AB31" si="34">S30-J30</f>
        <v>21</v>
      </c>
    </row>
    <row r="31" spans="1:29">
      <c r="A31" s="12" t="s">
        <v>32</v>
      </c>
      <c r="B31" s="23">
        <v>0</v>
      </c>
      <c r="C31" s="23">
        <v>21315</v>
      </c>
      <c r="D31" s="23">
        <f>B31+C31</f>
        <v>21315</v>
      </c>
      <c r="E31" s="23">
        <v>0</v>
      </c>
      <c r="F31" s="23">
        <v>0</v>
      </c>
      <c r="G31" s="23">
        <f>E31+F31</f>
        <v>0</v>
      </c>
      <c r="H31" s="24">
        <f t="shared" si="24"/>
        <v>0</v>
      </c>
      <c r="I31" s="24">
        <f t="shared" si="24"/>
        <v>21315</v>
      </c>
      <c r="J31" s="24">
        <f>D31-G31</f>
        <v>21315</v>
      </c>
      <c r="K31" s="23">
        <v>0</v>
      </c>
      <c r="L31" s="23">
        <v>20000</v>
      </c>
      <c r="M31" s="24">
        <f>L31+K31</f>
        <v>20000</v>
      </c>
      <c r="N31" s="23">
        <v>0</v>
      </c>
      <c r="O31" s="23">
        <v>0</v>
      </c>
      <c r="P31" s="24">
        <f>SUM(N31+O31)</f>
        <v>0</v>
      </c>
      <c r="Q31" s="24">
        <f t="shared" ref="Q31:R31" si="35">K31-N31</f>
        <v>0</v>
      </c>
      <c r="R31" s="24">
        <f t="shared" si="35"/>
        <v>20000</v>
      </c>
      <c r="S31" s="24">
        <f>M31-P31</f>
        <v>20000</v>
      </c>
      <c r="T31" s="25">
        <f t="shared" si="26"/>
        <v>0</v>
      </c>
      <c r="U31" s="25">
        <f t="shared" si="27"/>
        <v>-1315</v>
      </c>
      <c r="V31" s="25">
        <f t="shared" si="28"/>
        <v>-1315</v>
      </c>
      <c r="W31" s="25">
        <f t="shared" si="29"/>
        <v>0</v>
      </c>
      <c r="X31" s="25">
        <f t="shared" si="30"/>
        <v>0</v>
      </c>
      <c r="Y31" s="25">
        <f t="shared" si="31"/>
        <v>0</v>
      </c>
      <c r="Z31" s="25">
        <f t="shared" si="32"/>
        <v>0</v>
      </c>
      <c r="AA31" s="25">
        <f t="shared" si="33"/>
        <v>-1315</v>
      </c>
      <c r="AB31" s="25">
        <f t="shared" si="34"/>
        <v>-1315</v>
      </c>
    </row>
    <row r="32" spans="1:29">
      <c r="A32" s="12"/>
      <c r="B32" s="38"/>
    </row>
    <row r="33" spans="1:13">
      <c r="A33" s="12"/>
      <c r="B33" s="38"/>
    </row>
    <row r="34" spans="1:13">
      <c r="A34" s="12"/>
      <c r="B34" s="38"/>
    </row>
    <row r="35" spans="1:13">
      <c r="A35" s="41" t="s">
        <v>33</v>
      </c>
      <c r="B35" s="39"/>
      <c r="J35" s="5"/>
      <c r="K35" s="5"/>
      <c r="L35" s="5"/>
      <c r="M35" s="5"/>
    </row>
    <row r="36" spans="1:13">
      <c r="A36" s="3" t="s">
        <v>15</v>
      </c>
      <c r="B36" s="33">
        <v>7560</v>
      </c>
      <c r="D36" s="1"/>
      <c r="F36" s="33"/>
      <c r="H36" s="34"/>
      <c r="I36" s="34"/>
      <c r="J36" s="34"/>
      <c r="K36" s="5"/>
      <c r="L36" s="8"/>
      <c r="M36" s="1"/>
    </row>
    <row r="37" spans="1:13">
      <c r="A37" s="3" t="s">
        <v>16</v>
      </c>
      <c r="B37" s="33">
        <v>230</v>
      </c>
      <c r="C37" s="1"/>
      <c r="D37" s="34"/>
      <c r="J37" s="5"/>
      <c r="K37" s="5"/>
      <c r="L37" s="8"/>
      <c r="M37" s="1"/>
    </row>
    <row r="38" spans="1:13">
      <c r="A38" s="3" t="s">
        <v>17</v>
      </c>
      <c r="B38" s="33">
        <f>2620+15+40</f>
        <v>2675</v>
      </c>
      <c r="C38" s="1"/>
      <c r="D38" s="34"/>
      <c r="J38" s="5"/>
      <c r="K38" s="5"/>
      <c r="L38" s="8"/>
      <c r="M38" s="1"/>
    </row>
    <row r="39" spans="1:13">
      <c r="A39" s="3" t="s">
        <v>18</v>
      </c>
      <c r="B39" s="33">
        <v>7800</v>
      </c>
      <c r="C39" s="1"/>
      <c r="H39" s="34"/>
      <c r="I39" s="34"/>
      <c r="J39" s="34"/>
      <c r="K39" s="5"/>
      <c r="L39" s="8"/>
      <c r="M39" s="1"/>
    </row>
    <row r="40" spans="1:13">
      <c r="A40" s="3" t="s">
        <v>19</v>
      </c>
      <c r="B40" s="40">
        <f>50+165+50+440+945+430+110+175</f>
        <v>2365</v>
      </c>
      <c r="F40" s="33"/>
      <c r="G40" s="1"/>
      <c r="H40" s="34"/>
      <c r="I40" s="34"/>
      <c r="J40" s="34"/>
      <c r="K40" s="5"/>
      <c r="L40" s="8"/>
      <c r="M40" s="1"/>
    </row>
    <row r="41" spans="1:13">
      <c r="A41" s="3" t="s">
        <v>20</v>
      </c>
      <c r="B41" s="40">
        <v>60</v>
      </c>
      <c r="F41" s="33"/>
      <c r="G41" s="1"/>
      <c r="H41" s="34"/>
      <c r="I41" s="34"/>
      <c r="J41" s="34"/>
      <c r="K41" s="5"/>
      <c r="L41" s="8"/>
      <c r="M41" s="1"/>
    </row>
    <row r="42" spans="1:13">
      <c r="A42" s="3" t="s">
        <v>21</v>
      </c>
      <c r="B42" s="40">
        <f>260+190+150+25</f>
        <v>625</v>
      </c>
      <c r="F42" s="33"/>
      <c r="G42" s="1"/>
      <c r="H42" s="34"/>
      <c r="I42" s="34"/>
      <c r="J42" s="34"/>
      <c r="K42" s="5"/>
      <c r="L42" s="8"/>
      <c r="M42" s="36"/>
    </row>
    <row r="43" spans="1:13">
      <c r="A43" s="42" t="s">
        <v>34</v>
      </c>
      <c r="B43" s="4">
        <f>SUM(B36:B42)</f>
        <v>21315</v>
      </c>
      <c r="F43" s="33"/>
      <c r="G43" s="1"/>
      <c r="H43" s="34"/>
      <c r="I43" s="34"/>
      <c r="J43" s="34"/>
      <c r="K43" s="5"/>
      <c r="L43" s="8"/>
      <c r="M43" s="1"/>
    </row>
    <row r="44" spans="1:13">
      <c r="F44" s="35"/>
      <c r="G44" s="5"/>
      <c r="H44" s="34"/>
      <c r="I44" s="34"/>
      <c r="J44" s="34"/>
      <c r="K44" s="5"/>
      <c r="L44" s="8"/>
      <c r="M44" s="1"/>
    </row>
    <row r="45" spans="1:13">
      <c r="F45" s="34"/>
      <c r="G45" s="1"/>
      <c r="J45" s="5"/>
      <c r="K45" s="5"/>
      <c r="L45" s="8"/>
      <c r="M45" s="1"/>
    </row>
    <row r="46" spans="1:13">
      <c r="J46" s="5"/>
      <c r="K46" s="5"/>
      <c r="L46" s="8"/>
      <c r="M46" s="37"/>
    </row>
    <row r="47" spans="1:13">
      <c r="J47" s="5"/>
      <c r="K47" s="6"/>
      <c r="L47" s="8"/>
      <c r="M47" s="6"/>
    </row>
    <row r="48" spans="1:13">
      <c r="J48" s="5"/>
      <c r="K48" s="5"/>
      <c r="L48" s="5"/>
      <c r="M4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2014-07-25T11:09:56Z</dcterms:modified>
</cp:coreProperties>
</file>